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4000" windowHeight="13935"/>
  </bookViews>
  <sheets>
    <sheet name="Buy vs. Lease Car" sheetId="2" r:id="rId1"/>
  </sheets>
  <calcPr calcId="152511"/>
</workbook>
</file>

<file path=xl/calcChain.xml><?xml version="1.0" encoding="utf-8"?>
<calcChain xmlns="http://schemas.openxmlformats.org/spreadsheetml/2006/main">
  <c r="F42" i="2" l="1"/>
  <c r="F24" i="2"/>
  <c r="F17" i="2"/>
  <c r="C21" i="2"/>
  <c r="F21" i="2"/>
  <c r="C25" i="2"/>
  <c r="C42" i="2"/>
  <c r="C41" i="2"/>
  <c r="C24" i="2"/>
  <c r="F23" i="2"/>
  <c r="C15" i="2"/>
  <c r="F40" i="2" l="1"/>
  <c r="F39" i="2"/>
  <c r="F26" i="2"/>
  <c r="F18" i="2"/>
  <c r="F16" i="2"/>
  <c r="F9" i="2"/>
  <c r="F8" i="2"/>
  <c r="C43" i="2" l="1"/>
  <c r="C44" i="2" s="1"/>
  <c r="F41" i="2"/>
  <c r="C23" i="2"/>
  <c r="F43" i="2" l="1"/>
  <c r="F44" i="2" s="1"/>
  <c r="C26" i="2"/>
  <c r="F28" i="2" s="1"/>
</calcChain>
</file>

<file path=xl/sharedStrings.xml><?xml version="1.0" encoding="utf-8"?>
<sst xmlns="http://schemas.openxmlformats.org/spreadsheetml/2006/main" count="56" uniqueCount="42">
  <si>
    <t>LEASE</t>
  </si>
  <si>
    <t>BUY</t>
  </si>
  <si>
    <t>Suggested retail price</t>
  </si>
  <si>
    <t>Tax, title, etc.</t>
  </si>
  <si>
    <t>Refundable security deposit</t>
  </si>
  <si>
    <t>First month's payment</t>
  </si>
  <si>
    <t>Capital cost reduction payment</t>
  </si>
  <si>
    <t>Down payment</t>
  </si>
  <si>
    <t>Last month payment in advance?</t>
  </si>
  <si>
    <t>Payment (if yes)</t>
  </si>
  <si>
    <t>Selling price at end of lease</t>
  </si>
  <si>
    <t xml:space="preserve">Resale value </t>
  </si>
  <si>
    <t>Monthly lease payment</t>
  </si>
  <si>
    <t>Monthly loan payment</t>
  </si>
  <si>
    <t>Discount for present value</t>
  </si>
  <si>
    <t>Loan rate</t>
  </si>
  <si>
    <t>Future value of last payment</t>
  </si>
  <si>
    <t>Present value of resale</t>
  </si>
  <si>
    <t>Initial costs</t>
  </si>
  <si>
    <t>Financing costs</t>
  </si>
  <si>
    <t>Present value of refund</t>
  </si>
  <si>
    <t>Present value of total costs</t>
  </si>
  <si>
    <t>DIFFERENCE</t>
  </si>
  <si>
    <t>TAXATION</t>
  </si>
  <si>
    <t>Tax bracket</t>
  </si>
  <si>
    <t>Business use percentage</t>
  </si>
  <si>
    <t>Sales tax percentage</t>
  </si>
  <si>
    <t>Title</t>
  </si>
  <si>
    <t>Fees</t>
  </si>
  <si>
    <t>Sales tax</t>
  </si>
  <si>
    <t>Potential financing deduction</t>
  </si>
  <si>
    <t>Interest deduction</t>
  </si>
  <si>
    <t>Total potential deductions</t>
  </si>
  <si>
    <t>Potential tax savings</t>
  </si>
  <si>
    <t>Note: Depreciation deductions may be available that could change the results of this analysis.</t>
  </si>
  <si>
    <t>BUY vs. LEASE</t>
  </si>
  <si>
    <t>Note: Positive value favors leasing.</t>
  </si>
  <si>
    <t>Yes</t>
  </si>
  <si>
    <t>[MAKE] [MODEL]</t>
  </si>
  <si>
    <t>MAKE &amp; MODEL</t>
  </si>
  <si>
    <t>Lease term (years)</t>
  </si>
  <si>
    <t>Term of loan (years)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</si>
</sst>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1"/>
      <color theme="1"/>
      <name val="Trebuchet MS"/>
      <family val="2"/>
      <scheme val="minor"/>
    </font>
    <font>
      <sz val="24"/>
      <color theme="1" tint="0.24994659260841701"/>
      <name val="Microsoft Sans Serif"/>
      <family val="2"/>
      <scheme val="major"/>
    </font>
    <font>
      <sz val="16"/>
      <color theme="1" tint="0.24994659260841701"/>
      <name val="Microsoft Sans Serif"/>
      <family val="2"/>
      <scheme val="major"/>
    </font>
    <font>
      <sz val="16"/>
      <color theme="0" tint="-4.9989318521683403E-2"/>
      <name val="Microsoft Sans Serif"/>
      <family val="2"/>
      <scheme val="major"/>
    </font>
    <font>
      <sz val="9"/>
      <color theme="1"/>
      <name val="Trebuchet MS"/>
      <family val="2"/>
      <scheme val="minor"/>
    </font>
    <font>
      <sz val="12"/>
      <color theme="1"/>
      <name val="Trebuchet MS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lightUp">
        <fgColor theme="6" tint="0.59996337778862885"/>
        <bgColor indexed="65"/>
      </patternFill>
    </fill>
    <fill>
      <patternFill patternType="solid">
        <fgColor theme="7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5"/>
      </bottom>
      <diagonal/>
    </border>
    <border>
      <left/>
      <right/>
      <top/>
      <bottom style="medium">
        <color theme="6"/>
      </bottom>
      <diagonal/>
    </border>
    <border>
      <left style="thin">
        <color theme="5" tint="-0.24994659260841701"/>
      </left>
      <right style="thin">
        <color theme="5" tint="-0.24994659260841701"/>
      </right>
      <top style="thin">
        <color theme="5" tint="-0.24994659260841701"/>
      </top>
      <bottom style="thin">
        <color theme="5" tint="-0.24994659260841701"/>
      </bottom>
      <diagonal/>
    </border>
    <border>
      <left style="thin">
        <color theme="6" tint="-0.24994659260841701"/>
      </left>
      <right style="thin">
        <color theme="6" tint="-0.24994659260841701"/>
      </right>
      <top style="thin">
        <color theme="6" tint="-0.24994659260841701"/>
      </top>
      <bottom style="thin">
        <color theme="6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7" tint="-0.24994659260841701"/>
      </left>
      <right style="thin">
        <color theme="7" tint="-0.24994659260841701"/>
      </right>
      <top style="thin">
        <color theme="7" tint="-0.24994659260841701"/>
      </top>
      <bottom style="thin">
        <color theme="7" tint="-0.24994659260841701"/>
      </bottom>
      <diagonal/>
    </border>
  </borders>
  <cellStyleXfs count="6">
    <xf numFmtId="0" fontId="0" fillId="0" borderId="0">
      <alignment vertical="center"/>
    </xf>
    <xf numFmtId="0" fontId="1" fillId="5" borderId="1" applyNumberFormat="0" applyProtection="0"/>
    <xf numFmtId="0" fontId="2" fillId="3" borderId="2" applyNumberFormat="0" applyProtection="0"/>
    <xf numFmtId="0" fontId="2" fillId="4" borderId="3" applyNumberFormat="0" applyProtection="0"/>
    <xf numFmtId="0" fontId="2" fillId="7" borderId="0" applyNumberFormat="0" applyProtection="0">
      <alignment vertical="center"/>
    </xf>
    <xf numFmtId="0" fontId="3" fillId="8" borderId="0" applyProtection="0">
      <alignment vertical="center"/>
    </xf>
  </cellStyleXfs>
  <cellXfs count="29">
    <xf numFmtId="0" fontId="0" fillId="0" borderId="0" xfId="0">
      <alignment vertical="center"/>
    </xf>
    <xf numFmtId="0" fontId="1" fillId="5" borderId="1" xfId="1"/>
    <xf numFmtId="0" fontId="2" fillId="3" borderId="2" xfId="2"/>
    <xf numFmtId="0" fontId="2" fillId="4" borderId="3" xfId="3"/>
    <xf numFmtId="0" fontId="0" fillId="0" borderId="4" xfId="0" applyBorder="1">
      <alignment vertical="center"/>
    </xf>
    <xf numFmtId="164" fontId="0" fillId="2" borderId="4" xfId="0" applyNumberFormat="1" applyFill="1" applyBorder="1">
      <alignment vertical="center"/>
    </xf>
    <xf numFmtId="0" fontId="0" fillId="0" borderId="5" xfId="0" applyBorder="1">
      <alignment vertical="center"/>
    </xf>
    <xf numFmtId="164" fontId="0" fillId="2" borderId="5" xfId="0" applyNumberFormat="1" applyFill="1" applyBorder="1">
      <alignment vertical="center"/>
    </xf>
    <xf numFmtId="0" fontId="0" fillId="2" borderId="4" xfId="0" applyFill="1" applyBorder="1">
      <alignment vertical="center"/>
    </xf>
    <xf numFmtId="10" fontId="0" fillId="2" borderId="5" xfId="0" applyNumberFormat="1" applyFill="1" applyBorder="1">
      <alignment vertical="center"/>
    </xf>
    <xf numFmtId="0" fontId="0" fillId="0" borderId="6" xfId="0" applyBorder="1">
      <alignment vertical="center"/>
    </xf>
    <xf numFmtId="0" fontId="0" fillId="6" borderId="5" xfId="0" applyFill="1" applyBorder="1">
      <alignment vertical="center"/>
    </xf>
    <xf numFmtId="0" fontId="0" fillId="0" borderId="6" xfId="0" applyFill="1" applyBorder="1">
      <alignment vertical="center"/>
    </xf>
    <xf numFmtId="0" fontId="2" fillId="7" borderId="0" xfId="4">
      <alignment vertical="center"/>
    </xf>
    <xf numFmtId="0" fontId="3" fillId="8" borderId="0" xfId="5">
      <alignment vertical="center"/>
    </xf>
    <xf numFmtId="0" fontId="0" fillId="0" borderId="7" xfId="0" applyBorder="1">
      <alignment vertical="center"/>
    </xf>
    <xf numFmtId="164" fontId="0" fillId="2" borderId="7" xfId="0" applyNumberFormat="1" applyFill="1" applyBorder="1">
      <alignment vertical="center"/>
    </xf>
    <xf numFmtId="10" fontId="0" fillId="2" borderId="8" xfId="0" applyNumberFormat="1" applyFill="1" applyBorder="1">
      <alignment vertical="center"/>
    </xf>
    <xf numFmtId="0" fontId="4" fillId="0" borderId="0" xfId="0" applyFont="1" applyAlignment="1">
      <alignment horizontal="left"/>
    </xf>
    <xf numFmtId="0" fontId="4" fillId="0" borderId="0" xfId="0" applyFont="1">
      <alignment vertical="center"/>
    </xf>
    <xf numFmtId="164" fontId="0" fillId="9" borderId="4" xfId="0" applyNumberFormat="1" applyFill="1" applyBorder="1">
      <alignment vertical="center"/>
    </xf>
    <xf numFmtId="164" fontId="0" fillId="9" borderId="5" xfId="0" applyNumberFormat="1" applyFill="1" applyBorder="1">
      <alignment vertical="center"/>
    </xf>
    <xf numFmtId="1" fontId="0" fillId="9" borderId="5" xfId="0" applyNumberFormat="1" applyFill="1" applyBorder="1">
      <alignment vertical="center"/>
    </xf>
    <xf numFmtId="164" fontId="0" fillId="9" borderId="6" xfId="0" applyNumberFormat="1" applyFill="1" applyBorder="1">
      <alignment vertical="center"/>
    </xf>
    <xf numFmtId="164" fontId="0" fillId="9" borderId="7" xfId="0" applyNumberFormat="1" applyFill="1" applyBorder="1">
      <alignment vertical="center"/>
    </xf>
    <xf numFmtId="10" fontId="0" fillId="2" borderId="4" xfId="0" applyNumberFormat="1" applyFill="1" applyBorder="1">
      <alignment vertical="center"/>
    </xf>
    <xf numFmtId="164" fontId="0" fillId="2" borderId="4" xfId="0" applyNumberFormat="1" applyFill="1" applyBorder="1" applyAlignment="1">
      <alignment horizontal="center" vertical="center"/>
    </xf>
    <xf numFmtId="0" fontId="0" fillId="0" borderId="8" xfId="0" applyBorder="1" applyAlignment="1"/>
    <xf numFmtId="0" fontId="5" fillId="2" borderId="6" xfId="0" applyFont="1" applyFill="1" applyBorder="1" applyAlignment="1">
      <alignment horizontal="left" vertical="center"/>
    </xf>
  </cellXfs>
  <cellStyles count="6"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Heading 5" xfId="5"/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Blood pressure tracker">
      <a:dk1>
        <a:srgbClr val="000000"/>
      </a:dk1>
      <a:lt1>
        <a:srgbClr val="FFFFFF"/>
      </a:lt1>
      <a:dk2>
        <a:srgbClr val="1E2E2F"/>
      </a:dk2>
      <a:lt2>
        <a:srgbClr val="DEDED4"/>
      </a:lt2>
      <a:accent1>
        <a:srgbClr val="E9755A"/>
      </a:accent1>
      <a:accent2>
        <a:srgbClr val="7AB6BA"/>
      </a:accent2>
      <a:accent3>
        <a:srgbClr val="7DB587"/>
      </a:accent3>
      <a:accent4>
        <a:srgbClr val="E6BF5E"/>
      </a:accent4>
      <a:accent5>
        <a:srgbClr val="E68F4D"/>
      </a:accent5>
      <a:accent6>
        <a:srgbClr val="C26B70"/>
      </a:accent6>
      <a:hlink>
        <a:srgbClr val="7AB6BA"/>
      </a:hlink>
      <a:folHlink>
        <a:srgbClr val="A68CB1"/>
      </a:folHlink>
    </a:clrScheme>
    <a:fontScheme name="Baby shower planner">
      <a:majorFont>
        <a:latin typeface="Microsoft Sans Serif"/>
        <a:ea typeface=""/>
        <a:cs typeface=""/>
      </a:majorFont>
      <a:minorFont>
        <a:latin typeface="Trebuchet MS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3" tint="0.499984740745262"/>
    <pageSetUpPr fitToPage="1"/>
  </sheetPr>
  <dimension ref="B2:F46"/>
  <sheetViews>
    <sheetView showGridLines="0" tabSelected="1" workbookViewId="0"/>
  </sheetViews>
  <sheetFormatPr defaultRowHeight="16.5" x14ac:dyDescent="0.3"/>
  <cols>
    <col min="1" max="1" width="1" customWidth="1"/>
    <col min="2" max="2" width="31.625" customWidth="1"/>
    <col min="3" max="3" width="13.125" customWidth="1"/>
    <col min="4" max="4" width="2.375" customWidth="1"/>
    <col min="5" max="5" width="31.625" customWidth="1"/>
    <col min="6" max="6" width="13.125" customWidth="1"/>
  </cols>
  <sheetData>
    <row r="2" spans="2:6" ht="31.5" thickBot="1" x14ac:dyDescent="0.5">
      <c r="B2" s="1" t="s">
        <v>35</v>
      </c>
      <c r="C2" s="1"/>
      <c r="D2" s="1"/>
      <c r="E2" s="1"/>
      <c r="F2" s="1"/>
    </row>
    <row r="3" spans="2:6" ht="17.25" thickTop="1" x14ac:dyDescent="0.3"/>
    <row r="4" spans="2:6" ht="28.5" customHeight="1" x14ac:dyDescent="0.3">
      <c r="B4" s="12" t="s">
        <v>39</v>
      </c>
      <c r="C4" s="28" t="s">
        <v>38</v>
      </c>
      <c r="D4" s="28"/>
      <c r="E4" s="28"/>
      <c r="F4" s="28"/>
    </row>
    <row r="6" spans="2:6" ht="21" thickBot="1" x14ac:dyDescent="0.35">
      <c r="B6" s="2" t="s">
        <v>0</v>
      </c>
      <c r="C6" s="2"/>
      <c r="E6" s="3" t="s">
        <v>1</v>
      </c>
      <c r="F6" s="3"/>
    </row>
    <row r="7" spans="2:6" ht="17.25" thickTop="1" x14ac:dyDescent="0.3"/>
    <row r="8" spans="2:6" x14ac:dyDescent="0.3">
      <c r="B8" s="4" t="s">
        <v>2</v>
      </c>
      <c r="C8" s="5">
        <v>12000</v>
      </c>
      <c r="E8" s="6" t="s">
        <v>2</v>
      </c>
      <c r="F8" s="21">
        <f>IF(C8,C8,"")</f>
        <v>12000</v>
      </c>
    </row>
    <row r="9" spans="2:6" x14ac:dyDescent="0.3">
      <c r="B9" s="4" t="s">
        <v>3</v>
      </c>
      <c r="C9" s="5">
        <v>250</v>
      </c>
      <c r="E9" s="6" t="s">
        <v>3</v>
      </c>
      <c r="F9" s="21">
        <f>IF(C9,C9,"")</f>
        <v>250</v>
      </c>
    </row>
    <row r="10" spans="2:6" x14ac:dyDescent="0.3">
      <c r="B10" s="4" t="s">
        <v>4</v>
      </c>
      <c r="C10" s="5">
        <v>150</v>
      </c>
      <c r="E10" s="11"/>
      <c r="F10" s="11"/>
    </row>
    <row r="11" spans="2:6" x14ac:dyDescent="0.3">
      <c r="B11" s="4" t="s">
        <v>5</v>
      </c>
      <c r="C11" s="5">
        <v>200</v>
      </c>
      <c r="E11" s="11"/>
      <c r="F11" s="11"/>
    </row>
    <row r="12" spans="2:6" x14ac:dyDescent="0.3">
      <c r="B12" s="4" t="s">
        <v>6</v>
      </c>
      <c r="C12" s="5">
        <v>100</v>
      </c>
      <c r="E12" s="6" t="s">
        <v>7</v>
      </c>
      <c r="F12" s="7">
        <v>2000</v>
      </c>
    </row>
    <row r="14" spans="2:6" x14ac:dyDescent="0.3">
      <c r="B14" s="4" t="s">
        <v>8</v>
      </c>
      <c r="C14" s="26" t="s">
        <v>37</v>
      </c>
      <c r="E14" s="11"/>
      <c r="F14" s="11"/>
    </row>
    <row r="15" spans="2:6" x14ac:dyDescent="0.3">
      <c r="B15" s="4" t="s">
        <v>9</v>
      </c>
      <c r="C15" s="20">
        <f>IF(ISBLANK(C14),"",IF(C14="Yes",C11,0))</f>
        <v>200</v>
      </c>
      <c r="E15" s="11"/>
      <c r="F15" s="11"/>
    </row>
    <row r="16" spans="2:6" x14ac:dyDescent="0.3">
      <c r="B16" s="4" t="s">
        <v>10</v>
      </c>
      <c r="C16" s="5">
        <v>7500</v>
      </c>
      <c r="E16" s="6" t="s">
        <v>11</v>
      </c>
      <c r="F16" s="21">
        <f>IF(C16,C16,"")</f>
        <v>7500</v>
      </c>
    </row>
    <row r="17" spans="2:6" x14ac:dyDescent="0.3">
      <c r="B17" s="4" t="s">
        <v>12</v>
      </c>
      <c r="C17" s="5">
        <v>225</v>
      </c>
      <c r="E17" s="6" t="s">
        <v>13</v>
      </c>
      <c r="F17" s="21">
        <f>IF(AND(OR(F8&gt;0,F19),F18*12),PMT(F19/12,F18*12,-(F8-F12)),"")</f>
        <v>188.71233644010937</v>
      </c>
    </row>
    <row r="18" spans="2:6" x14ac:dyDescent="0.3">
      <c r="B18" s="4" t="s">
        <v>40</v>
      </c>
      <c r="C18" s="8">
        <v>5</v>
      </c>
      <c r="E18" s="6" t="s">
        <v>41</v>
      </c>
      <c r="F18" s="22">
        <f>IF(C18,C18,"")</f>
        <v>5</v>
      </c>
    </row>
    <row r="19" spans="2:6" x14ac:dyDescent="0.3">
      <c r="B19" s="4" t="s">
        <v>14</v>
      </c>
      <c r="C19" s="25">
        <v>0.05</v>
      </c>
      <c r="E19" s="6" t="s">
        <v>15</v>
      </c>
      <c r="F19" s="9">
        <v>0.05</v>
      </c>
    </row>
    <row r="21" spans="2:6" x14ac:dyDescent="0.3">
      <c r="B21" s="4" t="s">
        <v>16</v>
      </c>
      <c r="C21" s="20">
        <f>IF(OR(OR(C19&gt;0,C18*12),C15),(1+C19/12)^(C18*12)*C15,"")</f>
        <v>256.67173570070281</v>
      </c>
      <c r="E21" s="6" t="s">
        <v>17</v>
      </c>
      <c r="F21" s="21">
        <f>IF(OR(OR(C19&gt;0,C18*12),C16),((1+C19/12)^(-C18*12))*C16,"")</f>
        <v>5844.0404273772665</v>
      </c>
    </row>
    <row r="23" spans="2:6" x14ac:dyDescent="0.3">
      <c r="B23" s="4" t="s">
        <v>18</v>
      </c>
      <c r="C23" s="20">
        <f>IF(SUM(C9:C12,C15),SUM(C9:C12,C15),"")</f>
        <v>900</v>
      </c>
      <c r="E23" s="6" t="s">
        <v>18</v>
      </c>
      <c r="F23" s="21">
        <f>IF(OR(SUM(F9)&gt;0,F12),F9+F12,"")</f>
        <v>2250</v>
      </c>
    </row>
    <row r="24" spans="2:6" x14ac:dyDescent="0.3">
      <c r="B24" s="4" t="s">
        <v>19</v>
      </c>
      <c r="C24" s="20">
        <f>IF(AND(C17&gt;0,C19),PV(C19/12,C18*12-IF(C15,1,0),-C17),"")</f>
        <v>11747.58771006236</v>
      </c>
      <c r="E24" s="6" t="s">
        <v>19</v>
      </c>
      <c r="F24" s="21">
        <f>IF(OR(OR(F17&gt;0,C19),F18*12),PV(C19/12,F18*12,-F17),"")</f>
        <v>10000.000000000035</v>
      </c>
    </row>
    <row r="25" spans="2:6" x14ac:dyDescent="0.3">
      <c r="B25" s="4" t="s">
        <v>20</v>
      </c>
      <c r="C25" s="20">
        <f>IF(OR(OR(C19&gt;0,C18*12),C10),((1+C19/12)^(-C18*12))*-C10,"")</f>
        <v>-116.88080854754533</v>
      </c>
      <c r="E25" s="11"/>
      <c r="F25" s="11"/>
    </row>
    <row r="26" spans="2:6" x14ac:dyDescent="0.3">
      <c r="B26" s="4" t="s">
        <v>21</v>
      </c>
      <c r="C26" s="20">
        <f>IF(SUM(C23:C25),SUM(C23:C25),"")</f>
        <v>12530.706901514815</v>
      </c>
      <c r="E26" s="6" t="s">
        <v>21</v>
      </c>
      <c r="F26" s="21">
        <f>IF(OR(OR(SUM(F23)&gt;0,F24),F21),F23+F24-F21,"")</f>
        <v>6405.9595726227681</v>
      </c>
    </row>
    <row r="28" spans="2:6" x14ac:dyDescent="0.3">
      <c r="E28" s="10" t="s">
        <v>22</v>
      </c>
      <c r="F28" s="23">
        <f>IF(OR(SUM(F26)&gt;0,C26),+F26-C26,"")</f>
        <v>-6124.7473288920473</v>
      </c>
    </row>
    <row r="29" spans="2:6" x14ac:dyDescent="0.35">
      <c r="E29" s="18" t="s">
        <v>36</v>
      </c>
    </row>
    <row r="31" spans="2:6" ht="20.25" x14ac:dyDescent="0.3">
      <c r="B31" s="13" t="s">
        <v>23</v>
      </c>
      <c r="C31" s="13"/>
      <c r="D31" s="13"/>
      <c r="E31" s="13"/>
      <c r="F31" s="13"/>
    </row>
    <row r="33" spans="2:6" x14ac:dyDescent="0.3">
      <c r="C33" s="27" t="s">
        <v>24</v>
      </c>
      <c r="D33" s="27"/>
      <c r="E33" s="27"/>
      <c r="F33" s="17">
        <v>0.25</v>
      </c>
    </row>
    <row r="34" spans="2:6" x14ac:dyDescent="0.3">
      <c r="C34" s="27" t="s">
        <v>25</v>
      </c>
      <c r="D34" s="27"/>
      <c r="E34" s="27"/>
      <c r="F34" s="17">
        <v>6.5000000000000002E-2</v>
      </c>
    </row>
    <row r="35" spans="2:6" x14ac:dyDescent="0.3">
      <c r="C35" s="27" t="s">
        <v>26</v>
      </c>
      <c r="D35" s="27"/>
      <c r="E35" s="27"/>
      <c r="F35" s="17">
        <v>9.5000000000000001E-2</v>
      </c>
    </row>
    <row r="37" spans="2:6" ht="20.25" x14ac:dyDescent="0.3">
      <c r="B37" s="14" t="s">
        <v>23</v>
      </c>
      <c r="C37" s="14" t="s">
        <v>0</v>
      </c>
      <c r="E37" s="14" t="s">
        <v>23</v>
      </c>
      <c r="F37" s="14" t="s">
        <v>1</v>
      </c>
    </row>
    <row r="39" spans="2:6" x14ac:dyDescent="0.3">
      <c r="B39" s="15" t="s">
        <v>27</v>
      </c>
      <c r="C39" s="16">
        <v>150</v>
      </c>
      <c r="E39" s="15" t="s">
        <v>27</v>
      </c>
      <c r="F39" s="24">
        <f>IF(C39,C39,"")</f>
        <v>150</v>
      </c>
    </row>
    <row r="40" spans="2:6" x14ac:dyDescent="0.3">
      <c r="B40" s="15" t="s">
        <v>28</v>
      </c>
      <c r="C40" s="16">
        <v>150</v>
      </c>
      <c r="E40" s="15" t="s">
        <v>28</v>
      </c>
      <c r="F40" s="24">
        <f>IF(C40,C40,"")</f>
        <v>150</v>
      </c>
    </row>
    <row r="41" spans="2:6" x14ac:dyDescent="0.3">
      <c r="B41" s="15" t="s">
        <v>29</v>
      </c>
      <c r="C41" s="24">
        <f>IF(OR(F35&gt;0,C8),F35*C8,"")</f>
        <v>1140</v>
      </c>
      <c r="E41" s="15" t="s">
        <v>29</v>
      </c>
      <c r="F41" s="24">
        <f>IF(SUM(C41),C41,"")</f>
        <v>1140</v>
      </c>
    </row>
    <row r="42" spans="2:6" x14ac:dyDescent="0.3">
      <c r="B42" s="15" t="s">
        <v>30</v>
      </c>
      <c r="C42" s="24">
        <f>IF(OR(C17&gt;0,C18),C17*C18*12,"")</f>
        <v>13500</v>
      </c>
      <c r="E42" s="15" t="s">
        <v>31</v>
      </c>
      <c r="F42" s="24">
        <f>IF(OR(OR(OR(F17&gt;0,F18*12),F8),F12),(F17*F18*12)-(F8-F12),"")</f>
        <v>1322.7401864065614</v>
      </c>
    </row>
    <row r="43" spans="2:6" x14ac:dyDescent="0.3">
      <c r="B43" s="15" t="s">
        <v>32</v>
      </c>
      <c r="C43" s="24">
        <f>IF(SUM(C39:C42),SUM(C39:C42),"")</f>
        <v>14940</v>
      </c>
      <c r="E43" s="15" t="s">
        <v>32</v>
      </c>
      <c r="F43" s="24">
        <f>IF(SUM(F39:F42),SUM(F39:F42),"")</f>
        <v>2762.7401864065614</v>
      </c>
    </row>
    <row r="44" spans="2:6" x14ac:dyDescent="0.3">
      <c r="B44" s="15" t="s">
        <v>33</v>
      </c>
      <c r="C44" s="24">
        <f>IF(OR(OR(F33&gt;0,F34),C43),(1-F33)*F34*C43,"")</f>
        <v>728.32500000000005</v>
      </c>
      <c r="E44" s="15" t="s">
        <v>33</v>
      </c>
      <c r="F44" s="24">
        <f>IF(OR(OR(F33&gt;0,F34),F43),(1-F33)*F34*F43,"")</f>
        <v>134.68358408731987</v>
      </c>
    </row>
    <row r="46" spans="2:6" x14ac:dyDescent="0.3">
      <c r="B46" s="19" t="s">
        <v>34</v>
      </c>
    </row>
  </sheetData>
  <mergeCells count="4">
    <mergeCell ref="C35:E35"/>
    <mergeCell ref="C34:E34"/>
    <mergeCell ref="C33:E33"/>
    <mergeCell ref="C4:F4"/>
  </mergeCells>
  <dataValidations count="1">
    <dataValidation type="list" allowBlank="1" showInputMessage="1" showErrorMessage="1" sqref="C14">
      <formula1>"Yes,No"</formula1>
    </dataValidation>
  </dataValidations>
  <printOptions horizontalCentered="1"/>
  <pageMargins left="0.4" right="0.4" top="0.4" bottom="0.4" header="0.3" footer="0.3"/>
  <pageSetup orientation="portrait" r:id="rId1"/>
  <ignoredErrors>
    <ignoredError sqref="F17" formula="1"/>
    <ignoredError sqref="C23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2D145CC5-FF14-4CAB-A58B-50438A4371D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Buy vs. Lease Car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cp:lastModifiedBy/>
  <dcterms:created xsi:type="dcterms:W3CDTF">2016-05-16T18:55:57Z</dcterms:created>
  <dcterms:modified xsi:type="dcterms:W3CDTF">2016-05-16T18:55:57Z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TC039869379991</vt:lpwstr>
  </property>
</Properties>
</file>